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stitutional Research\IR Standard Reports\Semesterly Reports\COMmon Fact Sheet\Distribution\"/>
    </mc:Choice>
  </mc:AlternateContent>
  <xr:revisionPtr revIDLastSave="0" documentId="13_ncr:1_{5491ECB2-693D-4481-9541-89D52305E97D}" xr6:coauthVersionLast="47" xr6:coauthVersionMax="47" xr10:uidLastSave="{00000000-0000-0000-0000-000000000000}"/>
  <bookViews>
    <workbookView xWindow="-120" yWindow="-120" windowWidth="38640" windowHeight="15720" xr2:uid="{1AE13FB1-88B3-4E7F-A1FF-63FD1C2C28E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C52" i="1"/>
  <c r="E49" i="1"/>
  <c r="E48" i="1"/>
  <c r="D48" i="1"/>
  <c r="G50" i="1"/>
  <c r="E50" i="1"/>
  <c r="D50" i="1"/>
  <c r="G52" i="1"/>
  <c r="F52" i="1"/>
  <c r="E52" i="1"/>
  <c r="D52" i="1"/>
  <c r="F49" i="1"/>
  <c r="F54" i="1"/>
  <c r="B52" i="1"/>
  <c r="D49" i="1"/>
  <c r="E54" i="1"/>
  <c r="C49" i="1"/>
  <c r="D54" i="1"/>
  <c r="B49" i="1"/>
  <c r="C54" i="1"/>
  <c r="G48" i="1"/>
  <c r="B54" i="1"/>
  <c r="F48" i="1"/>
  <c r="C48" i="1"/>
  <c r="F50" i="1"/>
  <c r="C50" i="1"/>
  <c r="G49" i="1"/>
  <c r="B48" i="1"/>
  <c r="B50" i="1"/>
  <c r="F10" i="1"/>
  <c r="F37" i="1"/>
  <c r="F43" i="1"/>
  <c r="D37" i="1"/>
  <c r="F34" i="1"/>
  <c r="D28" i="1"/>
  <c r="F24" i="1"/>
  <c r="D17" i="1"/>
  <c r="F14" i="1"/>
  <c r="D10" i="1"/>
  <c r="F7" i="1"/>
  <c r="F8" i="1"/>
  <c r="F32" i="1"/>
  <c r="D44" i="1"/>
  <c r="D5" i="1"/>
  <c r="D22" i="1"/>
  <c r="D43" i="1"/>
  <c r="F40" i="1"/>
  <c r="D34" i="1"/>
  <c r="F31" i="1"/>
  <c r="D24" i="1"/>
  <c r="F20" i="1"/>
  <c r="D14" i="1"/>
  <c r="D7" i="1"/>
  <c r="F42" i="1"/>
  <c r="F13" i="1"/>
  <c r="F6" i="1"/>
  <c r="F39" i="1"/>
  <c r="D23" i="1"/>
  <c r="D13" i="1"/>
  <c r="D39" i="1"/>
  <c r="F41" i="1"/>
  <c r="D15" i="1"/>
  <c r="F28" i="1"/>
  <c r="D26" i="1"/>
  <c r="D32" i="1"/>
  <c r="D40" i="1"/>
  <c r="F36" i="1"/>
  <c r="D31" i="1"/>
  <c r="F27" i="1"/>
  <c r="D20" i="1"/>
  <c r="F16" i="1"/>
  <c r="F9" i="1"/>
  <c r="D36" i="1"/>
  <c r="F33" i="1"/>
  <c r="D27" i="1"/>
  <c r="F23" i="1"/>
  <c r="D16" i="1"/>
  <c r="D9" i="1"/>
  <c r="F30" i="1"/>
  <c r="F19" i="1"/>
  <c r="D19" i="1"/>
  <c r="F22" i="1"/>
  <c r="D11" i="1"/>
  <c r="B44" i="1"/>
  <c r="D33" i="1"/>
  <c r="D45" i="1"/>
  <c r="F15" i="1"/>
  <c r="F11" i="1"/>
  <c r="D35" i="1"/>
  <c r="F5" i="1"/>
  <c r="D8" i="1"/>
  <c r="B5" i="1"/>
  <c r="D42" i="1"/>
  <c r="F26" i="1"/>
  <c r="F44" i="1"/>
  <c r="D41" i="1"/>
  <c r="F45" i="1"/>
  <c r="D6" i="1"/>
  <c r="F35" i="1"/>
  <c r="D30" i="1"/>
  <c r="F17" i="1"/>
  <c r="B51" i="1" l="1"/>
  <c r="B53" i="1" s="1"/>
  <c r="C51" i="1"/>
  <c r="C53" i="1" s="1"/>
  <c r="F51" i="1"/>
  <c r="F53" i="1" s="1"/>
  <c r="G51" i="1"/>
  <c r="G53" i="1" s="1"/>
  <c r="D51" i="1"/>
  <c r="D53" i="1" s="1"/>
  <c r="E51" i="1"/>
  <c r="E53" i="1" s="1"/>
  <c r="G17" i="1"/>
  <c r="B30" i="1"/>
  <c r="E30" i="1"/>
  <c r="G35" i="1"/>
  <c r="E6" i="1"/>
  <c r="B6" i="1"/>
  <c r="B41" i="1"/>
  <c r="C41" i="1" s="1"/>
  <c r="E41" i="1"/>
  <c r="G26" i="1"/>
  <c r="E42" i="1"/>
  <c r="B42" i="1"/>
  <c r="C42" i="1" s="1"/>
  <c r="B8" i="1"/>
  <c r="C8" i="1" s="1"/>
  <c r="E8" i="1"/>
  <c r="B35" i="1"/>
  <c r="C35" i="1" s="1"/>
  <c r="E35" i="1"/>
  <c r="G15" i="1"/>
  <c r="B45" i="1"/>
  <c r="E33" i="1"/>
  <c r="B33" i="1"/>
  <c r="C33" i="1" s="1"/>
  <c r="B11" i="1"/>
  <c r="G22" i="1"/>
  <c r="E19" i="1"/>
  <c r="B19" i="1"/>
  <c r="G19" i="1"/>
  <c r="G30" i="1"/>
  <c r="E9" i="1"/>
  <c r="B9" i="1"/>
  <c r="C9" i="1" s="1"/>
  <c r="E16" i="1"/>
  <c r="B16" i="1"/>
  <c r="C16" i="1" s="1"/>
  <c r="G23" i="1"/>
  <c r="B27" i="1"/>
  <c r="C27" i="1" s="1"/>
  <c r="E27" i="1"/>
  <c r="G33" i="1"/>
  <c r="E36" i="1"/>
  <c r="B36" i="1"/>
  <c r="C36" i="1" s="1"/>
  <c r="G9" i="1"/>
  <c r="G16" i="1"/>
  <c r="E20" i="1"/>
  <c r="B20" i="1"/>
  <c r="C20" i="1" s="1"/>
  <c r="G27" i="1"/>
  <c r="E31" i="1"/>
  <c r="B31" i="1"/>
  <c r="C31" i="1" s="1"/>
  <c r="G36" i="1"/>
  <c r="E40" i="1"/>
  <c r="B40" i="1"/>
  <c r="C40" i="1" s="1"/>
  <c r="B32" i="1"/>
  <c r="C32" i="1" s="1"/>
  <c r="E32" i="1"/>
  <c r="E26" i="1"/>
  <c r="B26" i="1"/>
  <c r="G28" i="1"/>
  <c r="E15" i="1"/>
  <c r="B15" i="1"/>
  <c r="C15" i="1" s="1"/>
  <c r="G41" i="1"/>
  <c r="E39" i="1"/>
  <c r="B39" i="1"/>
  <c r="E13" i="1"/>
  <c r="B13" i="1"/>
  <c r="E23" i="1"/>
  <c r="B23" i="1"/>
  <c r="C23" i="1" s="1"/>
  <c r="G39" i="1"/>
  <c r="G6" i="1"/>
  <c r="G13" i="1"/>
  <c r="G42" i="1"/>
  <c r="E7" i="1"/>
  <c r="B7" i="1"/>
  <c r="C7" i="1" s="1"/>
  <c r="E14" i="1"/>
  <c r="B14" i="1"/>
  <c r="C14" i="1" s="1"/>
  <c r="G20" i="1"/>
  <c r="E24" i="1"/>
  <c r="B24" i="1"/>
  <c r="C24" i="1" s="1"/>
  <c r="G31" i="1"/>
  <c r="E34" i="1"/>
  <c r="B34" i="1"/>
  <c r="C34" i="1" s="1"/>
  <c r="G40" i="1"/>
  <c r="E43" i="1"/>
  <c r="B43" i="1"/>
  <c r="C43" i="1" s="1"/>
  <c r="B22" i="1"/>
  <c r="E22" i="1"/>
  <c r="G32" i="1"/>
  <c r="G8" i="1"/>
  <c r="G7" i="1"/>
  <c r="E10" i="1"/>
  <c r="B10" i="1"/>
  <c r="C10" i="1" s="1"/>
  <c r="G14" i="1"/>
  <c r="E17" i="1"/>
  <c r="B17" i="1"/>
  <c r="C17" i="1" s="1"/>
  <c r="G24" i="1"/>
  <c r="E28" i="1"/>
  <c r="B28" i="1"/>
  <c r="C28" i="1" s="1"/>
  <c r="G34" i="1"/>
  <c r="E37" i="1"/>
  <c r="B37" i="1"/>
  <c r="C37" i="1" s="1"/>
  <c r="G43" i="1"/>
  <c r="G37" i="1"/>
  <c r="G10" i="1"/>
  <c r="C6" i="1" l="1"/>
  <c r="C26" i="1"/>
  <c r="C39" i="1"/>
  <c r="C22" i="1"/>
  <c r="C19" i="1"/>
  <c r="C13" i="1"/>
  <c r="C30" i="1"/>
</calcChain>
</file>

<file path=xl/sharedStrings.xml><?xml version="1.0" encoding="utf-8"?>
<sst xmlns="http://schemas.openxmlformats.org/spreadsheetml/2006/main" count="71" uniqueCount="61">
  <si>
    <t>COMmon Fact Sheet--Credit Students, Spring 2025</t>
  </si>
  <si>
    <t>(Matching CBM Certified; Includes 16W and F8W enrollment only)</t>
  </si>
  <si>
    <t>Total</t>
  </si>
  <si>
    <t>Academic Majors</t>
  </si>
  <si>
    <t>Work Force Majors</t>
  </si>
  <si>
    <t>HC</t>
  </si>
  <si>
    <t xml:space="preserve">% </t>
  </si>
  <si>
    <t>%</t>
  </si>
  <si>
    <r>
      <t>Total Spring</t>
    </r>
    <r>
      <rPr>
        <i/>
        <vertAlign val="superscript"/>
        <sz val="8"/>
        <rFont val="Times New Roman"/>
        <family val="1"/>
      </rPr>
      <t>1</t>
    </r>
  </si>
  <si>
    <t>First-time-in-College</t>
  </si>
  <si>
    <t>New transfer</t>
  </si>
  <si>
    <t>Continuing</t>
  </si>
  <si>
    <t>Dual Credit</t>
  </si>
  <si>
    <t>Collegiate High School</t>
  </si>
  <si>
    <t>Flexible Entry</t>
  </si>
  <si>
    <t>Ethnicity</t>
  </si>
  <si>
    <t>White</t>
  </si>
  <si>
    <t>Black</t>
  </si>
  <si>
    <t>Hispanic</t>
  </si>
  <si>
    <t>Asian</t>
  </si>
  <si>
    <t>Other</t>
  </si>
  <si>
    <t>Gender</t>
  </si>
  <si>
    <t>Female</t>
  </si>
  <si>
    <t>Male</t>
  </si>
  <si>
    <t>Full-time</t>
  </si>
  <si>
    <t>Part-time</t>
  </si>
  <si>
    <t>Pell Recipients</t>
  </si>
  <si>
    <t>Tuition Status</t>
  </si>
  <si>
    <t>In-District</t>
  </si>
  <si>
    <t>Out-of-District</t>
  </si>
  <si>
    <r>
      <t>Other</t>
    </r>
    <r>
      <rPr>
        <vertAlign val="superscript"/>
        <sz val="9"/>
        <rFont val="Times New Roman"/>
        <family val="1"/>
      </rPr>
      <t>2</t>
    </r>
  </si>
  <si>
    <t>City</t>
  </si>
  <si>
    <t>Dickinson</t>
  </si>
  <si>
    <t>Friendswood</t>
  </si>
  <si>
    <t>Hitchcock</t>
  </si>
  <si>
    <t>La Marque</t>
  </si>
  <si>
    <t>League City</t>
  </si>
  <si>
    <t>Santa Fe</t>
  </si>
  <si>
    <t>Texas City</t>
  </si>
  <si>
    <t>All Other</t>
  </si>
  <si>
    <t>Age</t>
  </si>
  <si>
    <t>Under 18</t>
  </si>
  <si>
    <t>18 to 24</t>
  </si>
  <si>
    <t>25 to 34</t>
  </si>
  <si>
    <t>35 to 44</t>
  </si>
  <si>
    <t>45 and Over</t>
  </si>
  <si>
    <t>Average Age</t>
  </si>
  <si>
    <r>
      <t>Student FTE</t>
    </r>
    <r>
      <rPr>
        <i/>
        <vertAlign val="superscript"/>
        <sz val="9"/>
        <rFont val="Times New Roman"/>
        <family val="1"/>
      </rPr>
      <t>3</t>
    </r>
  </si>
  <si>
    <r>
      <t>Contact Hours</t>
    </r>
    <r>
      <rPr>
        <b/>
        <vertAlign val="superscript"/>
        <sz val="9"/>
        <rFont val="Times New Roman"/>
        <family val="1"/>
      </rPr>
      <t>4</t>
    </r>
  </si>
  <si>
    <t>Academic Lower Division</t>
  </si>
  <si>
    <t>Technical Lower Division</t>
  </si>
  <si>
    <t>Upper Division</t>
  </si>
  <si>
    <t>Regular</t>
  </si>
  <si>
    <t>Flex</t>
  </si>
  <si>
    <t>Total Funded</t>
  </si>
  <si>
    <t>Not State Funded</t>
  </si>
  <si>
    <t>Total Contact Hours</t>
  </si>
  <si>
    <r>
      <t>Total Student Credit Hours</t>
    </r>
    <r>
      <rPr>
        <b/>
        <i/>
        <vertAlign val="superscript"/>
        <sz val="9"/>
        <rFont val="Times New Roman"/>
        <family val="1"/>
      </rPr>
      <t>4</t>
    </r>
  </si>
  <si>
    <t>Source:  CBM0C1, CBM0CS, Colleague</t>
  </si>
  <si>
    <r>
      <t>1</t>
    </r>
    <r>
      <rPr>
        <sz val="8"/>
        <rFont val="Times New Roman"/>
        <family val="1"/>
      </rPr>
      <t xml:space="preserve">Total does not include flex entry.  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Includes Nonresident, Exempt/Texas Resident, Foreign In-District, &amp; Foreign Out-of-District. 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 xml:space="preserve">FTE is the total SCH taken by each type of student (academic or work force) divided by 12; </t>
    </r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Contact and semester credit hours are based on the type of course. </t>
    </r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>Student load is based on 16W and F8W session enrollment only.</t>
    </r>
  </si>
  <si>
    <r>
      <t>Student Load</t>
    </r>
    <r>
      <rPr>
        <i/>
        <vertAlign val="superscript"/>
        <sz val="9"/>
        <rFont val="Times New Roman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</si>
</sst>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%"/>
    <numFmt numFmtId="165" formatCode="#,##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i/>
      <vertAlign val="superscript"/>
      <sz val="8"/>
      <name val="Times New Roman"/>
      <family val="1"/>
    </font>
    <font>
      <vertAlign val="superscript"/>
      <sz val="9"/>
      <name val="Times New Roman"/>
      <family val="1"/>
    </font>
    <font>
      <i/>
      <vertAlign val="superscript"/>
      <sz val="9"/>
      <name val="Times New Roman"/>
      <family val="1"/>
    </font>
    <font>
      <b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vertAlign val="superscript"/>
      <sz val="9"/>
      <name val="Times New Roman"/>
      <family val="1"/>
    </font>
    <font>
      <i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4" fontId="3" fillId="0" borderId="1" xfId="0" applyNumberFormat="1" applyFont="1" applyBorder="1" applyAlignment="1">
      <alignment horizontal="left" wrapText="1"/>
    </xf>
    <xf numFmtId="4" fontId="5" fillId="0" borderId="5" xfId="0" applyNumberFormat="1" applyFont="1" applyBorder="1" applyAlignment="1">
      <alignment horizontal="left" wrapText="1"/>
    </xf>
    <xf numFmtId="3" fontId="3" fillId="0" borderId="6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3" fontId="5" fillId="0" borderId="5" xfId="0" applyNumberFormat="1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right" vertical="center" wrapText="1" indent="1"/>
    </xf>
    <xf numFmtId="164" fontId="3" fillId="0" borderId="10" xfId="0" applyNumberFormat="1" applyFont="1" applyBorder="1" applyAlignment="1">
      <alignment horizontal="right" vertical="center" wrapText="1" indent="1"/>
    </xf>
    <xf numFmtId="164" fontId="3" fillId="0" borderId="11" xfId="0" applyNumberFormat="1" applyFont="1" applyBorder="1" applyAlignment="1">
      <alignment horizontal="right" vertical="center" wrapText="1" indent="1"/>
    </xf>
    <xf numFmtId="9" fontId="3" fillId="0" borderId="0" xfId="1" applyFont="1" applyBorder="1"/>
    <xf numFmtId="3" fontId="3" fillId="0" borderId="5" xfId="0" applyNumberFormat="1" applyFont="1" applyBorder="1" applyAlignment="1">
      <alignment horizontal="left" vertical="top" wrapText="1" indent="1"/>
    </xf>
    <xf numFmtId="164" fontId="3" fillId="0" borderId="12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3" fontId="3" fillId="0" borderId="10" xfId="0" applyNumberFormat="1" applyFont="1" applyBorder="1" applyAlignment="1">
      <alignment horizontal="right" vertical="center" wrapText="1" indent="1"/>
    </xf>
    <xf numFmtId="165" fontId="3" fillId="0" borderId="12" xfId="0" applyNumberFormat="1" applyFont="1" applyBorder="1" applyAlignment="1">
      <alignment horizontal="right" vertical="center" wrapText="1" indent="1"/>
    </xf>
    <xf numFmtId="3" fontId="5" fillId="0" borderId="13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right" vertical="center" wrapText="1" indent="1"/>
    </xf>
    <xf numFmtId="3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right" indent="1"/>
    </xf>
    <xf numFmtId="4" fontId="4" fillId="0" borderId="5" xfId="0" applyNumberFormat="1" applyFont="1" applyBorder="1" applyAlignment="1">
      <alignment vertical="center" wrapText="1"/>
    </xf>
    <xf numFmtId="0" fontId="3" fillId="0" borderId="5" xfId="0" applyFont="1" applyBorder="1"/>
    <xf numFmtId="3" fontId="3" fillId="0" borderId="19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indent="1"/>
    </xf>
    <xf numFmtId="3" fontId="3" fillId="0" borderId="20" xfId="0" applyNumberFormat="1" applyFont="1" applyBorder="1" applyAlignment="1">
      <alignment horizontal="right" vertical="center" wrapText="1" indent="1"/>
    </xf>
    <xf numFmtId="3" fontId="3" fillId="0" borderId="21" xfId="0" applyNumberFormat="1" applyFont="1" applyBorder="1" applyAlignment="1">
      <alignment horizontal="right" vertical="center" wrapText="1" indent="1"/>
    </xf>
    <xf numFmtId="3" fontId="3" fillId="0" borderId="12" xfId="0" applyNumberFormat="1" applyFont="1" applyBorder="1" applyAlignment="1">
      <alignment horizontal="right" vertical="center" wrapText="1" indent="1"/>
    </xf>
    <xf numFmtId="3" fontId="3" fillId="0" borderId="22" xfId="0" applyNumberFormat="1" applyFont="1" applyBorder="1" applyAlignment="1">
      <alignment horizontal="right" vertical="center" wrapText="1" indent="1"/>
    </xf>
    <xf numFmtId="0" fontId="3" fillId="0" borderId="23" xfId="0" applyFont="1" applyBorder="1" applyAlignment="1">
      <alignment horizontal="left" indent="1"/>
    </xf>
    <xf numFmtId="3" fontId="3" fillId="0" borderId="24" xfId="0" applyNumberFormat="1" applyFont="1" applyBorder="1" applyAlignment="1">
      <alignment horizontal="right" vertical="center" wrapText="1" indent="1"/>
    </xf>
    <xf numFmtId="3" fontId="3" fillId="0" borderId="25" xfId="0" applyNumberFormat="1" applyFont="1" applyBorder="1" applyAlignment="1">
      <alignment horizontal="right" vertical="center" wrapText="1" indent="1"/>
    </xf>
    <xf numFmtId="3" fontId="3" fillId="0" borderId="26" xfId="0" applyNumberFormat="1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left" indent="2"/>
    </xf>
    <xf numFmtId="3" fontId="3" fillId="0" borderId="22" xfId="0" applyNumberFormat="1" applyFont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5" fillId="0" borderId="13" xfId="0" applyFont="1" applyBorder="1"/>
    <xf numFmtId="3" fontId="3" fillId="0" borderId="27" xfId="0" applyNumberFormat="1" applyFont="1" applyBorder="1" applyAlignment="1">
      <alignment horizontal="right" vertical="center" wrapText="1" indent="1"/>
    </xf>
    <xf numFmtId="3" fontId="3" fillId="0" borderId="28" xfId="0" applyNumberFormat="1" applyFont="1" applyBorder="1" applyAlignment="1">
      <alignment horizontal="right" vertical="center" wrapText="1" indent="1"/>
    </xf>
    <xf numFmtId="3" fontId="3" fillId="0" borderId="16" xfId="0" applyNumberFormat="1" applyFont="1" applyBorder="1" applyAlignment="1">
      <alignment horizontal="right" vertical="center" wrapText="1" indent="1"/>
    </xf>
    <xf numFmtId="3" fontId="10" fillId="0" borderId="13" xfId="0" applyNumberFormat="1" applyFont="1" applyBorder="1" applyAlignment="1">
      <alignment horizontal="left" vertical="top" wrapText="1"/>
    </xf>
    <xf numFmtId="0" fontId="3" fillId="0" borderId="16" xfId="0" applyFont="1" applyBorder="1" applyAlignment="1">
      <alignment horizontal="right" indent="1"/>
    </xf>
    <xf numFmtId="0" fontId="12" fillId="0" borderId="0" xfId="0" applyFont="1"/>
    <xf numFmtId="0" fontId="13" fillId="0" borderId="0" xfId="0" applyFont="1"/>
    <xf numFmtId="3" fontId="3" fillId="0" borderId="0" xfId="0" applyNumberFormat="1" applyFont="1"/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stitutional%20Research\IR%20Standard%20Reports\Semesterly%20Reports\COMmon%20Fact%20Sheet\Reports\COMmon%20Fact%20Sheet%20Credit%20Spring%202025%20Matching%20CBM%20certified.xlsx" TargetMode="External"/><Relationship Id="rId1" Type="http://schemas.openxmlformats.org/officeDocument/2006/relationships/externalLinkPath" Target="/Institutional%20Research/IR%20Standard%20Reports/Semesterly%20Reports/COMmon%20Fact%20Sheet/Reports/COMmon%20Fact%20Sheet%20Credit%20Spring%202025%20Matching%20CBM%20certifi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Data"/>
      <sheetName val="tables"/>
      <sheetName val="Pivot Calculated Fields"/>
    </sheetNames>
    <sheetDataSet>
      <sheetData sheetId="0"/>
      <sheetData sheetId="1"/>
      <sheetData sheetId="2">
        <row r="3">
          <cell r="A3" t="str">
            <v>Count of Semester</v>
          </cell>
        </row>
        <row r="9">
          <cell r="A9" t="str">
            <v>Sum of Flex</v>
          </cell>
        </row>
        <row r="37">
          <cell r="A37" t="str">
            <v>Sum of Flex</v>
          </cell>
        </row>
        <row r="50">
          <cell r="A50" t="str">
            <v>Sum of Flex</v>
          </cell>
        </row>
        <row r="57">
          <cell r="A57" t="str">
            <v>Sum of Flex</v>
          </cell>
        </row>
        <row r="64">
          <cell r="A64" t="str">
            <v>Sum of Flex</v>
          </cell>
        </row>
        <row r="73">
          <cell r="A73" t="str">
            <v>Sum of Flex</v>
          </cell>
        </row>
        <row r="82">
          <cell r="A82" t="str">
            <v>Sum of Flex</v>
          </cell>
        </row>
        <row r="96">
          <cell r="A96" t="str">
            <v>Average of age</v>
          </cell>
        </row>
        <row r="105">
          <cell r="A105" t="str">
            <v>Sum of FTE</v>
          </cell>
        </row>
        <row r="113">
          <cell r="A113" t="str">
            <v>Sum of Flex</v>
          </cell>
        </row>
        <row r="128">
          <cell r="A128" t="str">
            <v>Sum of TotFund_Academic</v>
          </cell>
        </row>
        <row r="139">
          <cell r="A139" t="str">
            <v>Sum of TotFund_Technical</v>
          </cell>
        </row>
        <row r="150">
          <cell r="A150" t="str">
            <v>Sum of TotFund_Upper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81A8-366B-411E-8F21-DE7736C63B74}">
  <sheetPr>
    <pageSetUpPr fitToPage="1"/>
  </sheetPr>
  <dimension ref="A1:Q71"/>
  <sheetViews>
    <sheetView tabSelected="1" workbookViewId="0">
      <selection sqref="A1:G1"/>
    </sheetView>
  </sheetViews>
  <sheetFormatPr defaultColWidth="9.140625" defaultRowHeight="12" x14ac:dyDescent="0.2"/>
  <cols>
    <col min="1" max="1" width="32.140625" style="1" customWidth="1"/>
    <col min="2" max="7" width="9.28515625" style="1" customWidth="1"/>
    <col min="8" max="16384" width="9.140625" style="1"/>
  </cols>
  <sheetData>
    <row r="1" spans="1:15" ht="14.25" x14ac:dyDescent="0.2">
      <c r="A1" s="48" t="s">
        <v>0</v>
      </c>
      <c r="B1" s="48"/>
      <c r="C1" s="48"/>
      <c r="D1" s="48"/>
      <c r="E1" s="48"/>
      <c r="F1" s="48"/>
      <c r="G1" s="48"/>
    </row>
    <row r="2" spans="1:15" ht="12.75" thickBot="1" x14ac:dyDescent="0.25">
      <c r="A2" s="49" t="s">
        <v>1</v>
      </c>
      <c r="B2" s="49"/>
      <c r="C2" s="49"/>
      <c r="D2" s="49"/>
      <c r="E2" s="49"/>
      <c r="F2" s="49"/>
      <c r="G2" s="49"/>
    </row>
    <row r="3" spans="1:15" ht="12" customHeight="1" x14ac:dyDescent="0.2">
      <c r="A3" s="2"/>
      <c r="B3" s="50" t="s">
        <v>2</v>
      </c>
      <c r="C3" s="51"/>
      <c r="D3" s="50" t="s">
        <v>3</v>
      </c>
      <c r="E3" s="51"/>
      <c r="F3" s="50" t="s">
        <v>4</v>
      </c>
      <c r="G3" s="52"/>
    </row>
    <row r="4" spans="1:15" x14ac:dyDescent="0.2">
      <c r="A4" s="3"/>
      <c r="B4" s="4" t="s">
        <v>5</v>
      </c>
      <c r="C4" s="5" t="s">
        <v>6</v>
      </c>
      <c r="D4" s="4" t="s">
        <v>5</v>
      </c>
      <c r="E4" s="5" t="s">
        <v>7</v>
      </c>
      <c r="F4" s="4" t="s">
        <v>5</v>
      </c>
      <c r="G4" s="6" t="s">
        <v>7</v>
      </c>
    </row>
    <row r="5" spans="1:15" ht="12.75" customHeight="1" x14ac:dyDescent="0.2">
      <c r="A5" s="7" t="s">
        <v>8</v>
      </c>
      <c r="B5" s="8">
        <f>GETPIVOTDATA("Semester",[1]tables!$A$3,"Flex",1)</f>
        <v>4906</v>
      </c>
      <c r="C5" s="9">
        <v>1</v>
      </c>
      <c r="D5" s="8">
        <f>GETPIVOTDATA("Semester",[1]tables!$A$3,"Type_Major","Academic","Flex",1)</f>
        <v>3457</v>
      </c>
      <c r="E5" s="9">
        <v>1</v>
      </c>
      <c r="F5" s="8">
        <f>GETPIVOTDATA("Semester",[1]tables!$A$3,"Type_Major","Work Force","Flex",1)</f>
        <v>1449</v>
      </c>
      <c r="G5" s="10">
        <v>1</v>
      </c>
      <c r="J5" s="46"/>
      <c r="K5" s="11"/>
      <c r="L5" s="11"/>
      <c r="M5" s="46"/>
      <c r="N5" s="46"/>
      <c r="O5" s="46"/>
    </row>
    <row r="6" spans="1:15" x14ac:dyDescent="0.2">
      <c r="A6" s="12" t="s">
        <v>9</v>
      </c>
      <c r="B6" s="8">
        <f t="shared" ref="B6:B11" si="0">D6+F6</f>
        <v>262</v>
      </c>
      <c r="C6" s="9">
        <f>B6/(B$5)</f>
        <v>5.3403995108030983E-2</v>
      </c>
      <c r="D6" s="8">
        <f>GETPIVOTDATA("Flex",[1]tables!$A$9,"Type_Major","Academic","status","First-time-in-College")</f>
        <v>144</v>
      </c>
      <c r="E6" s="9">
        <f>D6/(D$5)</f>
        <v>4.1654613827017642E-2</v>
      </c>
      <c r="F6" s="8">
        <f>GETPIVOTDATA("Flex",[1]tables!$A$9,"Type_Major","Work Force","status","First-time-in-College")</f>
        <v>118</v>
      </c>
      <c r="G6" s="13">
        <f>F6/(F$5)</f>
        <v>8.1435472739820561E-2</v>
      </c>
      <c r="M6" s="46"/>
    </row>
    <row r="7" spans="1:15" x14ac:dyDescent="0.2">
      <c r="A7" s="12" t="s">
        <v>10</v>
      </c>
      <c r="B7" s="8">
        <f t="shared" si="0"/>
        <v>205</v>
      </c>
      <c r="C7" s="9">
        <f>B7/(B$5)</f>
        <v>4.1785568691398288E-2</v>
      </c>
      <c r="D7" s="8">
        <f>IF(ISERR(GETPIVOTDATA("Flex",[1]tables!$A$9,"Type_Major","Academic","status","New transfer")),0,GETPIVOTDATA("Flex",[1]tables!$A$9,"Type_Major","Academic","status","New transfer"))</f>
        <v>134</v>
      </c>
      <c r="E7" s="9">
        <f>D7/(D$5)</f>
        <v>3.876193231125253E-2</v>
      </c>
      <c r="F7" s="8">
        <f>IF(ISERR(GETPIVOTDATA("Flex",[1]tables!$A$9,"Type_Major","Work Force","status","New transfer")),0,GETPIVOTDATA("Flex",[1]tables!$A$9,"Type_Major","Work Force","status","New transfer"))</f>
        <v>71</v>
      </c>
      <c r="G7" s="13">
        <f>F7/(F$5)</f>
        <v>4.8999309868875088E-2</v>
      </c>
    </row>
    <row r="8" spans="1:15" x14ac:dyDescent="0.2">
      <c r="A8" s="12" t="s">
        <v>11</v>
      </c>
      <c r="B8" s="8">
        <f t="shared" si="0"/>
        <v>3438</v>
      </c>
      <c r="C8" s="9">
        <f>B8/(B$5)</f>
        <v>0.70077456176110886</v>
      </c>
      <c r="D8" s="8">
        <f>GETPIVOTDATA("Flex",[1]tables!$A$9,"Type_Major","Academic","status","Continuing")</f>
        <v>2293</v>
      </c>
      <c r="E8" s="9">
        <f>D8/(D$5)</f>
        <v>0.66329187156494074</v>
      </c>
      <c r="F8" s="8">
        <f>GETPIVOTDATA("Flex",[1]tables!$A$9,"Type_Major","Work Force","status","Continuing")</f>
        <v>1145</v>
      </c>
      <c r="G8" s="13">
        <f>F8/(F$5)</f>
        <v>0.79020013802622502</v>
      </c>
    </row>
    <row r="9" spans="1:15" x14ac:dyDescent="0.2">
      <c r="A9" s="12" t="s">
        <v>12</v>
      </c>
      <c r="B9" s="8">
        <f t="shared" si="0"/>
        <v>881</v>
      </c>
      <c r="C9" s="9">
        <f t="shared" ref="C9:C10" si="1">B9/(B$5)</f>
        <v>0.1795760293518141</v>
      </c>
      <c r="D9" s="8">
        <f>GETPIVOTDATA("Flex",[1]tables!$A$9,"Type_Major","Academic","status","Dual Credit")</f>
        <v>774</v>
      </c>
      <c r="E9" s="9">
        <f>D9/D5</f>
        <v>0.22389354932021985</v>
      </c>
      <c r="F9" s="8">
        <f>GETPIVOTDATA("Flex",[1]tables!$A$9,"Type_Major","Work Force","status","Dual Credit")</f>
        <v>107</v>
      </c>
      <c r="G9" s="13">
        <f>F9/F5</f>
        <v>7.3844030365769503E-2</v>
      </c>
    </row>
    <row r="10" spans="1:15" x14ac:dyDescent="0.2">
      <c r="A10" s="12" t="s">
        <v>13</v>
      </c>
      <c r="B10" s="8">
        <f t="shared" si="0"/>
        <v>120</v>
      </c>
      <c r="C10" s="9">
        <f t="shared" si="1"/>
        <v>2.4459845087647779E-2</v>
      </c>
      <c r="D10" s="8">
        <f>GETPIVOTDATA("Flex",[1]tables!$A$9,"Type_Major","Academic","status","Collegiate High Schoo")</f>
        <v>112</v>
      </c>
      <c r="E10" s="9">
        <f>D10/D5</f>
        <v>3.2398032976569277E-2</v>
      </c>
      <c r="F10" s="8">
        <f>GETPIVOTDATA("Flex",[1]tables!$A$9,"Type_Major","Work Force","status","Collegiate High Schoo")</f>
        <v>8</v>
      </c>
      <c r="G10" s="13">
        <f>F10/F5</f>
        <v>5.521048999309869E-3</v>
      </c>
    </row>
    <row r="11" spans="1:15" x14ac:dyDescent="0.2">
      <c r="A11" s="7" t="s">
        <v>14</v>
      </c>
      <c r="B11" s="8">
        <f t="shared" si="0"/>
        <v>3038</v>
      </c>
      <c r="C11" s="9"/>
      <c r="D11" s="8">
        <f>IF(ISERR(GETPIVOTDATA("Semester",[1]tables!$A$3,"Type_Major","Academic","Flex",0)),0,GETPIVOTDATA("Semester",[1]tables!$A$3,"Type_Major","Academic","Flex",0))</f>
        <v>2299</v>
      </c>
      <c r="E11" s="9"/>
      <c r="F11" s="8">
        <f>IF(ISERR(GETPIVOTDATA("Semester",[1]tables!$A$3,"Type_Major","Work Force","Flex",0)),0,GETPIVOTDATA("Semester",[1]tables!$A$3,"Type_Major","Work Force","Flex",0))</f>
        <v>739</v>
      </c>
      <c r="G11" s="13"/>
    </row>
    <row r="12" spans="1:15" x14ac:dyDescent="0.2">
      <c r="A12" s="7" t="s">
        <v>15</v>
      </c>
      <c r="B12" s="14"/>
      <c r="C12" s="15"/>
      <c r="D12" s="14"/>
      <c r="E12" s="9"/>
      <c r="F12" s="14"/>
      <c r="G12" s="13"/>
    </row>
    <row r="13" spans="1:15" x14ac:dyDescent="0.2">
      <c r="A13" s="12" t="s">
        <v>16</v>
      </c>
      <c r="B13" s="8">
        <f t="shared" ref="B13:B45" si="2">D13+F13</f>
        <v>1683</v>
      </c>
      <c r="C13" s="9">
        <f t="shared" ref="C13:C17" si="3">B13/(B$5)</f>
        <v>0.34304932735426008</v>
      </c>
      <c r="D13" s="8">
        <f>GETPIVOTDATA("Flex",[1]tables!$A$37,"Type_Major","Academic","Ethnicity","White")</f>
        <v>1246</v>
      </c>
      <c r="E13" s="9">
        <f t="shared" ref="E13:E17" si="4">D13/(D$5)</f>
        <v>0.36042811686433324</v>
      </c>
      <c r="F13" s="8">
        <f>GETPIVOTDATA("Flex",[1]tables!$A$37,"Type_Major","Work Force","Ethnicity","White")</f>
        <v>437</v>
      </c>
      <c r="G13" s="13">
        <f t="shared" ref="G13:G16" si="5">F13/(F$5)</f>
        <v>0.30158730158730157</v>
      </c>
      <c r="M13" s="46"/>
      <c r="N13" s="46"/>
      <c r="O13" s="46"/>
    </row>
    <row r="14" spans="1:15" x14ac:dyDescent="0.2">
      <c r="A14" s="12" t="s">
        <v>17</v>
      </c>
      <c r="B14" s="8">
        <f t="shared" si="2"/>
        <v>756</v>
      </c>
      <c r="C14" s="9">
        <f t="shared" si="3"/>
        <v>0.15409702405218101</v>
      </c>
      <c r="D14" s="8">
        <f>GETPIVOTDATA("Flex",[1]tables!$A$37,"Type_Major","Academic","Ethnicity","Black")</f>
        <v>474</v>
      </c>
      <c r="E14" s="9">
        <f t="shared" si="4"/>
        <v>0.13711310384726641</v>
      </c>
      <c r="F14" s="8">
        <f>GETPIVOTDATA("Flex",[1]tables!$A$37,"Type_Major","Work Force","Ethnicity","Black")</f>
        <v>282</v>
      </c>
      <c r="G14" s="13">
        <f t="shared" si="5"/>
        <v>0.19461697722567287</v>
      </c>
    </row>
    <row r="15" spans="1:15" x14ac:dyDescent="0.2">
      <c r="A15" s="12" t="s">
        <v>18</v>
      </c>
      <c r="B15" s="8">
        <f t="shared" si="2"/>
        <v>1791</v>
      </c>
      <c r="C15" s="9">
        <f t="shared" si="3"/>
        <v>0.36506318793314307</v>
      </c>
      <c r="D15" s="8">
        <f>GETPIVOTDATA("Flex",[1]tables!$A$37,"Type_Major","Academic","Ethnicity","Hispanic")</f>
        <v>1253</v>
      </c>
      <c r="E15" s="9">
        <f t="shared" si="4"/>
        <v>0.36245299392536884</v>
      </c>
      <c r="F15" s="8">
        <f>GETPIVOTDATA("Flex",[1]tables!$A$37,"Type_Major","Work Force","Ethnicity","Hispanic")</f>
        <v>538</v>
      </c>
      <c r="G15" s="13">
        <f t="shared" si="5"/>
        <v>0.37129054520358867</v>
      </c>
    </row>
    <row r="16" spans="1:15" x14ac:dyDescent="0.2">
      <c r="A16" s="12" t="s">
        <v>19</v>
      </c>
      <c r="B16" s="8">
        <f t="shared" si="2"/>
        <v>136</v>
      </c>
      <c r="C16" s="9">
        <f t="shared" si="3"/>
        <v>2.7721157766000815E-2</v>
      </c>
      <c r="D16" s="8">
        <f>GETPIVOTDATA("Flex",[1]tables!$A$37,"Type_Major","Academic","Ethnicity","Asian")</f>
        <v>93</v>
      </c>
      <c r="E16" s="9">
        <f t="shared" si="4"/>
        <v>2.6901938096615563E-2</v>
      </c>
      <c r="F16" s="8">
        <f>GETPIVOTDATA("Flex",[1]tables!$A$37,"Type_Major","Work Force","Ethnicity","Asian")</f>
        <v>43</v>
      </c>
      <c r="G16" s="13">
        <f t="shared" si="5"/>
        <v>2.9675638371290544E-2</v>
      </c>
    </row>
    <row r="17" spans="1:15" x14ac:dyDescent="0.2">
      <c r="A17" s="12" t="s">
        <v>20</v>
      </c>
      <c r="B17" s="8">
        <f>D17+F17</f>
        <v>540</v>
      </c>
      <c r="C17" s="9">
        <f t="shared" si="3"/>
        <v>0.11006930289441501</v>
      </c>
      <c r="D17" s="8">
        <f>IF(ISERR(GETPIVOTDATA("Flex",[1]tables!$A$37,"Type_Major","Academic","Ethnicity","Other")),0,GETPIVOTDATA("Flex",[1]tables!$A$37,"Type_Major","Academic","Ethnicity","Other"))</f>
        <v>391</v>
      </c>
      <c r="E17" s="9">
        <f t="shared" si="4"/>
        <v>0.11310384726641597</v>
      </c>
      <c r="F17" s="8">
        <f>IF(ISERR(GETPIVOTDATA("Flex",[1]tables!$A$37,"Type_Major","Work Force","Ethnicity","Other")),0,GETPIVOTDATA("Flex",[1]tables!$A$37,"Type_Major","Work Force","Ethnicity","Other"))</f>
        <v>149</v>
      </c>
      <c r="G17" s="13">
        <f>F17/(F$5)</f>
        <v>0.1028295376121463</v>
      </c>
    </row>
    <row r="18" spans="1:15" x14ac:dyDescent="0.2">
      <c r="A18" s="7" t="s">
        <v>21</v>
      </c>
      <c r="B18" s="8"/>
      <c r="C18" s="9"/>
      <c r="D18" s="14"/>
      <c r="E18" s="9"/>
      <c r="F18" s="14"/>
      <c r="G18" s="13"/>
      <c r="M18" s="46"/>
      <c r="N18" s="46"/>
      <c r="O18" s="46"/>
    </row>
    <row r="19" spans="1:15" x14ac:dyDescent="0.2">
      <c r="A19" s="12" t="s">
        <v>22</v>
      </c>
      <c r="B19" s="8">
        <f t="shared" si="2"/>
        <v>3079</v>
      </c>
      <c r="C19" s="9">
        <f>B19/(B$5)</f>
        <v>0.62759885854056263</v>
      </c>
      <c r="D19" s="8">
        <f>GETPIVOTDATA("Flex",[1]tables!$A$50,"Gender","F","Type_Major","Academic")</f>
        <v>2272</v>
      </c>
      <c r="E19" s="9">
        <f>D19/(D$5)</f>
        <v>0.65721724038183393</v>
      </c>
      <c r="F19" s="8">
        <f>GETPIVOTDATA("Flex",[1]tables!$A$50,"Gender","F","Type_Major","Work Force")</f>
        <v>807</v>
      </c>
      <c r="G19" s="13">
        <f>F19/(F$5)</f>
        <v>0.55693581780538304</v>
      </c>
    </row>
    <row r="20" spans="1:15" x14ac:dyDescent="0.2">
      <c r="A20" s="12" t="s">
        <v>23</v>
      </c>
      <c r="B20" s="8">
        <f t="shared" si="2"/>
        <v>1827</v>
      </c>
      <c r="C20" s="9">
        <f>B20/(B$5)</f>
        <v>0.37240114145943742</v>
      </c>
      <c r="D20" s="8">
        <f>GETPIVOTDATA("Flex",[1]tables!$A$50,"Gender","M","Type_Major","Academic")</f>
        <v>1185</v>
      </c>
      <c r="E20" s="9">
        <f>D20/(D$5)</f>
        <v>0.34278275961816607</v>
      </c>
      <c r="F20" s="8">
        <f>GETPIVOTDATA("Flex",[1]tables!$A$50,"Gender","M","Type_Major","Work Force")</f>
        <v>642</v>
      </c>
      <c r="G20" s="13">
        <f>F20/(F$5)</f>
        <v>0.44306418219461696</v>
      </c>
    </row>
    <row r="21" spans="1:15" ht="12.75" x14ac:dyDescent="0.2">
      <c r="A21" s="7" t="s">
        <v>60</v>
      </c>
      <c r="B21" s="8"/>
      <c r="C21" s="9"/>
      <c r="D21" s="8"/>
      <c r="E21" s="9"/>
      <c r="F21" s="8"/>
      <c r="G21" s="13"/>
      <c r="M21" s="46"/>
      <c r="N21" s="46"/>
      <c r="O21" s="46"/>
    </row>
    <row r="22" spans="1:15" x14ac:dyDescent="0.2">
      <c r="A22" s="12" t="s">
        <v>24</v>
      </c>
      <c r="B22" s="8">
        <f t="shared" si="2"/>
        <v>379</v>
      </c>
      <c r="C22" s="9">
        <f>B22/(B$5)</f>
        <v>7.7252344068487563E-2</v>
      </c>
      <c r="D22" s="8">
        <f>GETPIVOTDATA("Flex",[1]tables!$A$57,"Type_Major","Academic","PTFT","1")</f>
        <v>215</v>
      </c>
      <c r="E22" s="9">
        <f>D22/(D$5)</f>
        <v>6.2192652588949959E-2</v>
      </c>
      <c r="F22" s="8">
        <f>GETPIVOTDATA("Flex",[1]tables!$A$57,"Type_Major","Work Force","ptft","1")</f>
        <v>164</v>
      </c>
      <c r="G22" s="13">
        <f>F22/(F$5)</f>
        <v>0.11318150448585231</v>
      </c>
    </row>
    <row r="23" spans="1:15" x14ac:dyDescent="0.2">
      <c r="A23" s="12" t="s">
        <v>25</v>
      </c>
      <c r="B23" s="8">
        <f t="shared" si="2"/>
        <v>4527</v>
      </c>
      <c r="C23" s="9">
        <f>B23/(B$5)</f>
        <v>0.92274765593151242</v>
      </c>
      <c r="D23" s="8">
        <f>GETPIVOTDATA("Flex",[1]tables!$A$57,"Type_Major","Academic","ptft","2")</f>
        <v>3242</v>
      </c>
      <c r="E23" s="9">
        <f>D23/(D$5)</f>
        <v>0.9378073474110501</v>
      </c>
      <c r="F23" s="8">
        <f>GETPIVOTDATA("Flex",[1]tables!$A$57,"Type_Major","Work Force","ptft","2")</f>
        <v>1285</v>
      </c>
      <c r="G23" s="13">
        <f>F23/(F$5)</f>
        <v>0.88681849551414771</v>
      </c>
    </row>
    <row r="24" spans="1:15" x14ac:dyDescent="0.2">
      <c r="A24" s="7" t="s">
        <v>26</v>
      </c>
      <c r="B24" s="8">
        <f t="shared" si="2"/>
        <v>1455</v>
      </c>
      <c r="C24" s="9">
        <f>B24/(B$5)</f>
        <v>0.29657562168772933</v>
      </c>
      <c r="D24" s="8">
        <f>GETPIVOTDATA("Flex",[1]tables!$A$64,"Type_Major","Academic","Pell","Pell")</f>
        <v>899</v>
      </c>
      <c r="E24" s="9">
        <f>D24/(D$5)</f>
        <v>0.26005206826728378</v>
      </c>
      <c r="F24" s="8">
        <f>GETPIVOTDATA("Flex",[1]tables!$A$64,"Type_Major","Work Force","Pell","Pell")</f>
        <v>556</v>
      </c>
      <c r="G24" s="13">
        <f>F24/(F$5)</f>
        <v>0.3837129054520359</v>
      </c>
    </row>
    <row r="25" spans="1:15" x14ac:dyDescent="0.2">
      <c r="A25" s="7" t="s">
        <v>27</v>
      </c>
      <c r="B25" s="8"/>
      <c r="C25" s="9"/>
      <c r="D25" s="14"/>
      <c r="E25" s="9"/>
      <c r="F25" s="14"/>
      <c r="G25" s="13"/>
    </row>
    <row r="26" spans="1:15" x14ac:dyDescent="0.2">
      <c r="A26" s="12" t="s">
        <v>28</v>
      </c>
      <c r="B26" s="8">
        <f t="shared" si="2"/>
        <v>3184</v>
      </c>
      <c r="C26" s="9">
        <f t="shared" ref="C26:C43" si="6">B26/(B$5)</f>
        <v>0.64900122299225438</v>
      </c>
      <c r="D26" s="8">
        <f>GETPIVOTDATA("Flex",[1]tables!$A$73,"Tuition","In-District","Type_Major","Academic")</f>
        <v>2204</v>
      </c>
      <c r="E26" s="9">
        <f t="shared" ref="E26:E43" si="7">D26/(D$5)</f>
        <v>0.63754700607463122</v>
      </c>
      <c r="F26" s="8">
        <f>GETPIVOTDATA("Flex",[1]tables!$A$73,"Tuition","In-District","Type_Major","Work Force")</f>
        <v>980</v>
      </c>
      <c r="G26" s="13">
        <f t="shared" ref="G26:G43" si="8">F26/(F$5)</f>
        <v>0.67632850241545894</v>
      </c>
      <c r="M26" s="46"/>
      <c r="N26" s="46"/>
      <c r="O26" s="46"/>
    </row>
    <row r="27" spans="1:15" x14ac:dyDescent="0.2">
      <c r="A27" s="12" t="s">
        <v>29</v>
      </c>
      <c r="B27" s="8">
        <f t="shared" si="2"/>
        <v>1555</v>
      </c>
      <c r="C27" s="9">
        <f t="shared" si="6"/>
        <v>0.31695882592743579</v>
      </c>
      <c r="D27" s="8">
        <f>GETPIVOTDATA("Flex",[1]tables!$A$73,"Tuition","Out-of-District","Type_Major","Academic")</f>
        <v>1148</v>
      </c>
      <c r="E27" s="9">
        <f t="shared" si="7"/>
        <v>0.33207983800983509</v>
      </c>
      <c r="F27" s="8">
        <f>GETPIVOTDATA("Flex",[1]tables!$A$73,"Tuition","Out-of-District","Type_Major","Work Force")</f>
        <v>407</v>
      </c>
      <c r="G27" s="13">
        <f t="shared" si="8"/>
        <v>0.2808833678398896</v>
      </c>
    </row>
    <row r="28" spans="1:15" ht="13.5" x14ac:dyDescent="0.2">
      <c r="A28" s="12" t="s">
        <v>30</v>
      </c>
      <c r="B28" s="8">
        <f>D28+F28</f>
        <v>167</v>
      </c>
      <c r="C28" s="9">
        <f t="shared" si="6"/>
        <v>3.4039951080309827E-2</v>
      </c>
      <c r="D28" s="8">
        <f>GETPIVOTDATA("Flex",[1]tables!$A$73,"Tuition","Other","Type_Major","Academic")</f>
        <v>105</v>
      </c>
      <c r="E28" s="9">
        <f t="shared" si="7"/>
        <v>3.03731559155337E-2</v>
      </c>
      <c r="F28" s="8">
        <f>GETPIVOTDATA("Flex",[1]tables!$A$73,"Tuition","Other","Type_Major","Work Force")</f>
        <v>62</v>
      </c>
      <c r="G28" s="13">
        <f t="shared" si="8"/>
        <v>4.2788129744651481E-2</v>
      </c>
    </row>
    <row r="29" spans="1:15" x14ac:dyDescent="0.2">
      <c r="A29" s="7" t="s">
        <v>31</v>
      </c>
      <c r="B29" s="8"/>
      <c r="C29" s="9"/>
      <c r="D29" s="14"/>
      <c r="E29" s="9"/>
      <c r="F29" s="14"/>
      <c r="G29" s="13"/>
      <c r="M29" s="46"/>
      <c r="N29" s="46"/>
      <c r="O29" s="46"/>
    </row>
    <row r="30" spans="1:15" x14ac:dyDescent="0.2">
      <c r="A30" s="12" t="s">
        <v>32</v>
      </c>
      <c r="B30" s="8">
        <f t="shared" si="2"/>
        <v>891</v>
      </c>
      <c r="C30" s="9">
        <f t="shared" si="6"/>
        <v>0.18161434977578475</v>
      </c>
      <c r="D30" s="8">
        <f>GETPIVOTDATA("Flex",[1]tables!$A$82,"Type_Major","Academic","City","Dickinson")</f>
        <v>652</v>
      </c>
      <c r="E30" s="9">
        <f t="shared" si="7"/>
        <v>0.18860283482788545</v>
      </c>
      <c r="F30" s="8">
        <f>GETPIVOTDATA("Flex",[1]tables!$A$82,"Type_Major","Work Force","City","Dickinson")</f>
        <v>239</v>
      </c>
      <c r="G30" s="13">
        <f t="shared" si="8"/>
        <v>0.16494133885438234</v>
      </c>
    </row>
    <row r="31" spans="1:15" x14ac:dyDescent="0.2">
      <c r="A31" s="12" t="s">
        <v>33</v>
      </c>
      <c r="B31" s="8">
        <f>D31+F31</f>
        <v>461</v>
      </c>
      <c r="C31" s="9">
        <f t="shared" si="6"/>
        <v>9.3966571545046881E-2</v>
      </c>
      <c r="D31" s="8">
        <f>GETPIVOTDATA("Flex",[1]tables!$A$82,"Type_Major","Academic","City","Friendswood")</f>
        <v>396</v>
      </c>
      <c r="E31" s="9">
        <f t="shared" si="7"/>
        <v>0.11455018802429852</v>
      </c>
      <c r="F31" s="8">
        <f>GETPIVOTDATA("Flex",[1]tables!$A$82,"Type_Major","Work Force","City","Friendswood")</f>
        <v>65</v>
      </c>
      <c r="G31" s="13">
        <f t="shared" si="8"/>
        <v>4.4858523119392688E-2</v>
      </c>
    </row>
    <row r="32" spans="1:15" x14ac:dyDescent="0.2">
      <c r="A32" s="12" t="s">
        <v>34</v>
      </c>
      <c r="B32" s="8">
        <f t="shared" si="2"/>
        <v>188</v>
      </c>
      <c r="C32" s="9">
        <f t="shared" si="6"/>
        <v>3.8320423970648186E-2</v>
      </c>
      <c r="D32" s="8">
        <f>IF(ISERR(GETPIVOTDATA("Flex",[1]tables!$A$82,"Type_Major","Academic","City","Hitchcock")),0,GETPIVOTDATA("Flex",[1]tables!$A$82,"Type_Major","Academic","City","Hitchcock"))</f>
        <v>102</v>
      </c>
      <c r="E32" s="9">
        <f t="shared" si="7"/>
        <v>2.9505351460804165E-2</v>
      </c>
      <c r="F32" s="8">
        <f>IF(ISERR(GETPIVOTDATA("Flex",[1]tables!$A$82,"Type_Major","Work Force","City","Hitchcock")),0,GETPIVOTDATA("Flex",[1]tables!$A$82,"Type_Major","Work Force","City","Hitchcock"))</f>
        <v>86</v>
      </c>
      <c r="G32" s="13">
        <f t="shared" si="8"/>
        <v>5.9351276742581088E-2</v>
      </c>
    </row>
    <row r="33" spans="1:17" x14ac:dyDescent="0.2">
      <c r="A33" s="12" t="s">
        <v>35</v>
      </c>
      <c r="B33" s="8">
        <f t="shared" si="2"/>
        <v>450</v>
      </c>
      <c r="C33" s="9">
        <f t="shared" si="6"/>
        <v>9.1724419078679162E-2</v>
      </c>
      <c r="D33" s="8">
        <f>GETPIVOTDATA("Flex",[1]tables!$A$82,"Type_Major","Academic","City","La Marque")</f>
        <v>307</v>
      </c>
      <c r="E33" s="9">
        <f t="shared" si="7"/>
        <v>8.8805322533989012E-2</v>
      </c>
      <c r="F33" s="8">
        <f>GETPIVOTDATA("Flex",[1]tables!$A$82,"Type_Major","Work Force","City","La Marque")</f>
        <v>143</v>
      </c>
      <c r="G33" s="13">
        <f t="shared" si="8"/>
        <v>9.8688750862663904E-2</v>
      </c>
    </row>
    <row r="34" spans="1:17" x14ac:dyDescent="0.2">
      <c r="A34" s="12" t="s">
        <v>36</v>
      </c>
      <c r="B34" s="8">
        <f t="shared" si="2"/>
        <v>656</v>
      </c>
      <c r="C34" s="9">
        <f t="shared" si="6"/>
        <v>0.13371381981247452</v>
      </c>
      <c r="D34" s="8">
        <f>GETPIVOTDATA("Flex",[1]tables!$A$82,"Type_Major","Academic","City","League City")</f>
        <v>498</v>
      </c>
      <c r="E34" s="9">
        <f t="shared" si="7"/>
        <v>0.14405553948510269</v>
      </c>
      <c r="F34" s="8">
        <f>GETPIVOTDATA("Flex",[1]tables!$A$82,"Type_Major","Work Force","City","League City")</f>
        <v>158</v>
      </c>
      <c r="G34" s="13">
        <f t="shared" si="8"/>
        <v>0.1090407177363699</v>
      </c>
    </row>
    <row r="35" spans="1:17" x14ac:dyDescent="0.2">
      <c r="A35" s="12" t="s">
        <v>37</v>
      </c>
      <c r="B35" s="8">
        <f t="shared" si="2"/>
        <v>388</v>
      </c>
      <c r="C35" s="9">
        <f t="shared" si="6"/>
        <v>7.9086832450061151E-2</v>
      </c>
      <c r="D35" s="8">
        <f>GETPIVOTDATA("Flex",[1]tables!$A$82,"Type_Major","Academic","City","Santa Fe")</f>
        <v>262</v>
      </c>
      <c r="E35" s="9">
        <f t="shared" si="7"/>
        <v>7.5788255713045996E-2</v>
      </c>
      <c r="F35" s="8">
        <f>GETPIVOTDATA("Flex",[1]tables!$A$82,"Type_Major","Work Force","City","Santa Fe")</f>
        <v>126</v>
      </c>
      <c r="G35" s="13">
        <f t="shared" si="8"/>
        <v>8.6956521739130432E-2</v>
      </c>
    </row>
    <row r="36" spans="1:17" x14ac:dyDescent="0.2">
      <c r="A36" s="12" t="s">
        <v>38</v>
      </c>
      <c r="B36" s="8">
        <f t="shared" si="2"/>
        <v>1201</v>
      </c>
      <c r="C36" s="9">
        <f t="shared" si="6"/>
        <v>0.24480228291887485</v>
      </c>
      <c r="D36" s="8">
        <f>GETPIVOTDATA("Flex",[1]tables!$A$82,"Type_Major","Academic","City","Texas City")</f>
        <v>823</v>
      </c>
      <c r="E36" s="9">
        <f t="shared" si="7"/>
        <v>0.23806768874746889</v>
      </c>
      <c r="F36" s="8">
        <f>GETPIVOTDATA("Flex",[1]tables!$A$82,"Type_Major","Work Force","City","Texas City")</f>
        <v>378</v>
      </c>
      <c r="G36" s="13">
        <f t="shared" si="8"/>
        <v>0.2608695652173913</v>
      </c>
    </row>
    <row r="37" spans="1:17" x14ac:dyDescent="0.2">
      <c r="A37" s="12" t="s">
        <v>39</v>
      </c>
      <c r="B37" s="8">
        <f>D37+F37</f>
        <v>671</v>
      </c>
      <c r="C37" s="9">
        <f t="shared" si="6"/>
        <v>0.1367713004484305</v>
      </c>
      <c r="D37" s="8">
        <f>GETPIVOTDATA("Flex",[1]tables!$A$82,"Type_Major","Academic","City","All Others")</f>
        <v>417</v>
      </c>
      <c r="E37" s="9">
        <f t="shared" si="7"/>
        <v>0.12062481920740527</v>
      </c>
      <c r="F37" s="8">
        <f>GETPIVOTDATA("Flex",[1]tables!$A$82,"Type_Major","Work Force","City","All Others")</f>
        <v>254</v>
      </c>
      <c r="G37" s="13">
        <f t="shared" si="8"/>
        <v>0.17529330572808835</v>
      </c>
    </row>
    <row r="38" spans="1:17" x14ac:dyDescent="0.2">
      <c r="A38" s="7" t="s">
        <v>40</v>
      </c>
      <c r="B38" s="8"/>
      <c r="C38" s="9"/>
      <c r="D38" s="14"/>
      <c r="E38" s="9"/>
      <c r="F38" s="14"/>
      <c r="G38" s="13"/>
    </row>
    <row r="39" spans="1:17" x14ac:dyDescent="0.2">
      <c r="A39" s="12" t="s">
        <v>41</v>
      </c>
      <c r="B39" s="8">
        <f t="shared" si="2"/>
        <v>1550</v>
      </c>
      <c r="C39" s="9">
        <f t="shared" si="6"/>
        <v>0.31593966571545046</v>
      </c>
      <c r="D39" s="8">
        <f>GETPIVOTDATA("Flex",[1]tables!$A$113,"Type_Major","Academic","age_group","Under 18")</f>
        <v>1317</v>
      </c>
      <c r="E39" s="9">
        <f t="shared" si="7"/>
        <v>0.38096615562626557</v>
      </c>
      <c r="F39" s="8">
        <f>GETPIVOTDATA("Flex",[1]tables!$A$113,"Type_Major","Work Force","age_group","Under 18")</f>
        <v>233</v>
      </c>
      <c r="G39" s="13">
        <f t="shared" si="8"/>
        <v>0.16080055210489994</v>
      </c>
      <c r="M39" s="46"/>
      <c r="N39" s="46"/>
      <c r="O39" s="46"/>
    </row>
    <row r="40" spans="1:17" x14ac:dyDescent="0.2">
      <c r="A40" s="12" t="s">
        <v>42</v>
      </c>
      <c r="B40" s="8">
        <f t="shared" si="2"/>
        <v>2261</v>
      </c>
      <c r="C40" s="9">
        <f t="shared" si="6"/>
        <v>0.46086424785976354</v>
      </c>
      <c r="D40" s="8">
        <f>GETPIVOTDATA("Flex",[1]tables!$A$113,"Type_Major","Academic","age_group","18-24")</f>
        <v>1581</v>
      </c>
      <c r="E40" s="9">
        <f t="shared" si="7"/>
        <v>0.45733294764246457</v>
      </c>
      <c r="F40" s="8">
        <f>GETPIVOTDATA("Flex",[1]tables!$A$113,"Type_Major","Work Force","age_group","18-24")</f>
        <v>680</v>
      </c>
      <c r="G40" s="13">
        <f t="shared" si="8"/>
        <v>0.46928916494133888</v>
      </c>
    </row>
    <row r="41" spans="1:17" x14ac:dyDescent="0.2">
      <c r="A41" s="12" t="s">
        <v>43</v>
      </c>
      <c r="B41" s="8">
        <f t="shared" si="2"/>
        <v>668</v>
      </c>
      <c r="C41" s="9">
        <f t="shared" si="6"/>
        <v>0.13615980432123931</v>
      </c>
      <c r="D41" s="8">
        <f>GETPIVOTDATA("Flex",[1]tables!$A$113,"Type_Major","Academic","age_group","25-34")</f>
        <v>366</v>
      </c>
      <c r="E41" s="9">
        <f t="shared" si="7"/>
        <v>0.10587214347700319</v>
      </c>
      <c r="F41" s="8">
        <f>GETPIVOTDATA("Flex",[1]tables!$A$113,"Type_Major","Work Force","age_group","25-34")</f>
        <v>302</v>
      </c>
      <c r="G41" s="13">
        <f t="shared" si="8"/>
        <v>0.20841959972394755</v>
      </c>
    </row>
    <row r="42" spans="1:17" x14ac:dyDescent="0.2">
      <c r="A42" s="12" t="s">
        <v>44</v>
      </c>
      <c r="B42" s="8">
        <f t="shared" si="2"/>
        <v>284</v>
      </c>
      <c r="C42" s="9">
        <f t="shared" si="6"/>
        <v>5.7888300040766408E-2</v>
      </c>
      <c r="D42" s="8">
        <f>GETPIVOTDATA("Flex",[1]tables!$A$113,"Type_Major","Academic","age_group","35-44")</f>
        <v>126</v>
      </c>
      <c r="E42" s="9">
        <f t="shared" si="7"/>
        <v>3.6447787098640438E-2</v>
      </c>
      <c r="F42" s="8">
        <f>GETPIVOTDATA("Flex",[1]tables!$A$113,"Type_Major","Work Force","age_group","35-44")</f>
        <v>158</v>
      </c>
      <c r="G42" s="13">
        <f t="shared" si="8"/>
        <v>0.1090407177363699</v>
      </c>
    </row>
    <row r="43" spans="1:17" x14ac:dyDescent="0.2">
      <c r="A43" s="12" t="s">
        <v>45</v>
      </c>
      <c r="B43" s="8">
        <f>D43+F43</f>
        <v>143</v>
      </c>
      <c r="C43" s="9">
        <f t="shared" si="6"/>
        <v>2.914798206278027E-2</v>
      </c>
      <c r="D43" s="8">
        <f>GETPIVOTDATA("Flex",[1]tables!$A$113,"Type_Major","Academic","age_group","45 and Over")</f>
        <v>67</v>
      </c>
      <c r="E43" s="9">
        <f t="shared" si="7"/>
        <v>1.9380966155626265E-2</v>
      </c>
      <c r="F43" s="8">
        <f>GETPIVOTDATA("Flex",[1]tables!$A$113,"Type_Major","Work Force","age_group","45 and Over")</f>
        <v>76</v>
      </c>
      <c r="G43" s="13">
        <f t="shared" si="8"/>
        <v>5.2449965493443752E-2</v>
      </c>
    </row>
    <row r="44" spans="1:17" x14ac:dyDescent="0.2">
      <c r="A44" s="7" t="s">
        <v>46</v>
      </c>
      <c r="B44" s="8">
        <f>GETPIVOTDATA("age",[1]tables!$A$96,"Flex",1)</f>
        <v>21.957806767223808</v>
      </c>
      <c r="C44" s="16"/>
      <c r="D44" s="8">
        <f>GETPIVOTDATA("age",[1]tables!$A$96,"Type_Major","Academic","Flex",1)</f>
        <v>20.643043100954586</v>
      </c>
      <c r="E44" s="16"/>
      <c r="F44" s="8">
        <f>GETPIVOTDATA("age",[1]tables!$A$96,"Type_Major","Work Force","Flex",1)</f>
        <v>25.094547964113183</v>
      </c>
      <c r="G44" s="17"/>
    </row>
    <row r="45" spans="1:17" ht="13.5" thickBot="1" x14ac:dyDescent="0.25">
      <c r="A45" s="18" t="s">
        <v>47</v>
      </c>
      <c r="B45" s="19">
        <f t="shared" si="2"/>
        <v>2639.7499999999882</v>
      </c>
      <c r="C45" s="20"/>
      <c r="D45" s="19">
        <f>GETPIVOTDATA("FTE",[1]tables!$A$105,"Type_Major","Academic")</f>
        <v>1775.4166666666531</v>
      </c>
      <c r="E45" s="20"/>
      <c r="F45" s="19">
        <f>GETPIVOTDATA("FTE",[1]tables!$A$105,"Type_Major","Work Force")</f>
        <v>864.33333333333496</v>
      </c>
      <c r="G45" s="21"/>
      <c r="N45" s="46"/>
    </row>
    <row r="46" spans="1:17" ht="25.5" customHeight="1" x14ac:dyDescent="0.2">
      <c r="A46" s="22" t="s">
        <v>48</v>
      </c>
      <c r="B46" s="53" t="s">
        <v>49</v>
      </c>
      <c r="C46" s="54"/>
      <c r="D46" s="53" t="s">
        <v>50</v>
      </c>
      <c r="E46" s="53"/>
      <c r="F46" s="53" t="s">
        <v>51</v>
      </c>
      <c r="G46" s="55"/>
    </row>
    <row r="47" spans="1:17" x14ac:dyDescent="0.2">
      <c r="A47" s="23"/>
      <c r="B47" s="4" t="s">
        <v>52</v>
      </c>
      <c r="C47" s="24" t="s">
        <v>53</v>
      </c>
      <c r="D47" s="4" t="s">
        <v>52</v>
      </c>
      <c r="E47" s="24" t="s">
        <v>53</v>
      </c>
      <c r="F47" s="4" t="s">
        <v>52</v>
      </c>
      <c r="G47" s="25" t="s">
        <v>53</v>
      </c>
    </row>
    <row r="48" spans="1:17" ht="12" customHeight="1" x14ac:dyDescent="0.2">
      <c r="A48" s="26" t="s">
        <v>28</v>
      </c>
      <c r="B48" s="27">
        <f>GETPIVOTDATA("TotFund_Academic",[1]tables!$A$128,"tuition","In-District","Flex",1)</f>
        <v>303472</v>
      </c>
      <c r="C48" s="28">
        <f>GETPIVOTDATA("TotFund_Academic",[1]tables!$A$128,"tuition","In-District","Flex",0)</f>
        <v>147632</v>
      </c>
      <c r="D48" s="27">
        <f>GETPIVOTDATA("TotFund_Technical",[1]tables!$A$139,"tuition","In-District","Flex",1)</f>
        <v>149440</v>
      </c>
      <c r="E48" s="28">
        <f>GETPIVOTDATA("TotFund_Technical",[1]tables!$A$139,"tuition","In-District","Flex",0)</f>
        <v>26048</v>
      </c>
      <c r="F48" s="8">
        <f>GETPIVOTDATA("TotFund_Upper",[1]tables!$A$150,"tuition","In-District","Flex",1)</f>
        <v>2336</v>
      </c>
      <c r="G48" s="29">
        <f>GETPIVOTDATA("TotFund_Upper",[1]tables!$A$150,"tuition","In-District","Flex",0)</f>
        <v>832</v>
      </c>
      <c r="N48" s="46"/>
      <c r="O48" s="46"/>
      <c r="P48" s="46"/>
      <c r="Q48" s="46"/>
    </row>
    <row r="49" spans="1:17" x14ac:dyDescent="0.2">
      <c r="A49" s="26" t="s">
        <v>29</v>
      </c>
      <c r="B49" s="8">
        <f>GETPIVOTDATA("TotFund_Academic",[1]tables!$A$128,"tuition","Out-of-District","Flex",1)</f>
        <v>122256</v>
      </c>
      <c r="C49" s="30">
        <f>GETPIVOTDATA("TotFund_Academic",[1]tables!$A$128,"tuition","Out-of-District","Flex",0)</f>
        <v>54320</v>
      </c>
      <c r="D49" s="8">
        <f>GETPIVOTDATA("TotFund_Technical",[1]tables!$A$139,"tuition","Out-of-District","Flex",1)</f>
        <v>73296</v>
      </c>
      <c r="E49" s="30">
        <f>GETPIVOTDATA("TotFund_Technical",[1]tables!$A$139,"tuition","Out-of-District","Flex",0)</f>
        <v>11984</v>
      </c>
      <c r="F49" s="8">
        <f>GETPIVOTDATA("TotFund_Upper",[1]tables!$A$150,"tuition","Out-of-District","Flex",1)</f>
        <v>2880</v>
      </c>
      <c r="G49" s="29">
        <f>GETPIVOTDATA("TotFund_Upper",[1]tables!$A$150,"tuition","Out-of-District","Flex",0)</f>
        <v>1056</v>
      </c>
      <c r="O49" s="46"/>
      <c r="P49" s="46"/>
    </row>
    <row r="50" spans="1:17" ht="12" customHeight="1" x14ac:dyDescent="0.2">
      <c r="A50" s="31" t="s">
        <v>20</v>
      </c>
      <c r="B50" s="32">
        <f>GETPIVOTDATA("TotFund_Academic",[1]tables!$A$128,"tuition","Other","Flex",1)</f>
        <v>15696</v>
      </c>
      <c r="C50" s="33">
        <f>GETPIVOTDATA("TotFund_Academic",[1]tables!$A$128,"tuition","Other","Flex",0)</f>
        <v>8576</v>
      </c>
      <c r="D50" s="32">
        <f>GETPIVOTDATA("TotFund_Technical",[1]tables!$A$139,"tuition","Other","Flex",1)</f>
        <v>11200</v>
      </c>
      <c r="E50" s="33">
        <f>GETPIVOTDATA("TotFund_Technical",[1]tables!$A$139,"tuition","Other","Flex",0)</f>
        <v>1792</v>
      </c>
      <c r="F50" s="32">
        <f>GETPIVOTDATA("TotFund_Upper",[1]tables!$A$150,"tuition","Other","Flex",1)</f>
        <v>528</v>
      </c>
      <c r="G50" s="34">
        <f>GETPIVOTDATA("TotFund_Upper",[1]tables!$A$150,"tuition","Other")</f>
        <v>672</v>
      </c>
    </row>
    <row r="51" spans="1:17" ht="12" customHeight="1" x14ac:dyDescent="0.2">
      <c r="A51" s="35" t="s">
        <v>54</v>
      </c>
      <c r="B51" s="8">
        <f t="shared" ref="B51:G51" si="9">SUM(B48:B50)</f>
        <v>441424</v>
      </c>
      <c r="C51" s="36">
        <f t="shared" si="9"/>
        <v>210528</v>
      </c>
      <c r="D51" s="8">
        <f t="shared" si="9"/>
        <v>233936</v>
      </c>
      <c r="E51" s="36">
        <f t="shared" si="9"/>
        <v>39824</v>
      </c>
      <c r="F51" s="8">
        <f t="shared" si="9"/>
        <v>5744</v>
      </c>
      <c r="G51" s="37">
        <f t="shared" si="9"/>
        <v>2560</v>
      </c>
      <c r="N51" s="46"/>
      <c r="O51" s="46"/>
      <c r="P51" s="46"/>
      <c r="Q51" s="46"/>
    </row>
    <row r="52" spans="1:17" x14ac:dyDescent="0.2">
      <c r="A52" s="26" t="s">
        <v>55</v>
      </c>
      <c r="B52" s="32">
        <f>GETPIVOTDATA("TotUnfund_Academic",[1]tables!$A$162,"Flex",1)</f>
        <v>8512</v>
      </c>
      <c r="C52" s="33">
        <f>GETPIVOTDATA("TotUnfund_Academic",[1]tables!$A$162,"Flex",0)</f>
        <v>3840</v>
      </c>
      <c r="D52" s="32">
        <f>GETPIVOTDATA("TotUnfund_Technical",[1]tables!$A$169,"Flex",1)</f>
        <v>960</v>
      </c>
      <c r="E52" s="33">
        <f>GETPIVOTDATA("TotUnfund_Technical",[1]tables!$A$169,"Flex",0)</f>
        <v>0</v>
      </c>
      <c r="F52" s="32">
        <f>GETPIVOTDATA("TotUnfund_Upper",[1]tables!$A$178,"Flex",1)</f>
        <v>48</v>
      </c>
      <c r="G52" s="34">
        <f>GETPIVOTDATA("TotUnfund_Upper",[1]tables!$A$178,"Flex",0)</f>
        <v>0</v>
      </c>
    </row>
    <row r="53" spans="1:17" ht="12" customHeight="1" thickBot="1" x14ac:dyDescent="0.25">
      <c r="A53" s="38" t="s">
        <v>56</v>
      </c>
      <c r="B53" s="39">
        <f t="shared" ref="B53:E53" si="10">B51+B52</f>
        <v>449936</v>
      </c>
      <c r="C53" s="40">
        <f t="shared" si="10"/>
        <v>214368</v>
      </c>
      <c r="D53" s="39">
        <f t="shared" si="10"/>
        <v>234896</v>
      </c>
      <c r="E53" s="40">
        <f t="shared" si="10"/>
        <v>39824</v>
      </c>
      <c r="F53" s="19">
        <f>F51+F52</f>
        <v>5792</v>
      </c>
      <c r="G53" s="41">
        <f>G51+G52</f>
        <v>2560</v>
      </c>
    </row>
    <row r="54" spans="1:17" ht="12.75" customHeight="1" thickBot="1" x14ac:dyDescent="0.25">
      <c r="A54" s="42" t="s">
        <v>57</v>
      </c>
      <c r="B54" s="19">
        <f>GETPIVOTDATA("TotSCH_Academic",[1]tables!$A$184,"Flex",1)</f>
        <v>23534</v>
      </c>
      <c r="C54" s="20">
        <f>GETPIVOTDATA("TotSCH_Academic",[1]tables!$A$184,"Flex",0)</f>
        <v>12242</v>
      </c>
      <c r="D54" s="19">
        <f>GETPIVOTDATA("TotSCH_Technical",[1]tables!$A$191,"Flex",1)</f>
        <v>7850</v>
      </c>
      <c r="E54" s="20">
        <f>GETPIVOTDATA("TotSCH_Technical",[1]tables!$A$191,"Flex",0)</f>
        <v>1510</v>
      </c>
      <c r="F54" s="19">
        <f>GETPIVOTDATA("TotSCH_Upper",[1]tables!$A$198,"Flex",1)</f>
        <v>293</v>
      </c>
      <c r="G54" s="43">
        <f>GETPIVOTDATA("TotSCH_Upper",[1]tables!$A$198,"Flex",0)</f>
        <v>127</v>
      </c>
    </row>
    <row r="55" spans="1:17" ht="12" customHeight="1" x14ac:dyDescent="0.2">
      <c r="A55" s="44" t="s">
        <v>58</v>
      </c>
    </row>
    <row r="56" spans="1:17" ht="2.25" customHeight="1" x14ac:dyDescent="0.2">
      <c r="A56" s="44"/>
    </row>
    <row r="57" spans="1:17" ht="40.5" customHeight="1" x14ac:dyDescent="0.2">
      <c r="A57" s="47" t="s">
        <v>59</v>
      </c>
      <c r="B57" s="47"/>
      <c r="C57" s="47"/>
      <c r="D57" s="47"/>
      <c r="E57" s="47"/>
      <c r="F57" s="47"/>
      <c r="G57" s="47"/>
    </row>
    <row r="58" spans="1:17" x14ac:dyDescent="0.2">
      <c r="A58" s="45"/>
    </row>
    <row r="59" spans="1:17" x14ac:dyDescent="0.2">
      <c r="A59" s="45"/>
    </row>
    <row r="64" spans="1:17" x14ac:dyDescent="0.2">
      <c r="B64" s="46"/>
      <c r="C64" s="46"/>
    </row>
    <row r="65" spans="2:3" x14ac:dyDescent="0.2">
      <c r="B65" s="46"/>
      <c r="C65" s="46"/>
    </row>
    <row r="66" spans="2:3" x14ac:dyDescent="0.2">
      <c r="B66" s="46"/>
      <c r="C66" s="46"/>
    </row>
    <row r="67" spans="2:3" x14ac:dyDescent="0.2">
      <c r="B67" s="46"/>
      <c r="C67" s="46"/>
    </row>
    <row r="68" spans="2:3" x14ac:dyDescent="0.2">
      <c r="B68" s="46"/>
      <c r="C68" s="46"/>
    </row>
    <row r="69" spans="2:3" x14ac:dyDescent="0.2">
      <c r="B69" s="46"/>
      <c r="C69" s="46"/>
    </row>
    <row r="70" spans="2:3" x14ac:dyDescent="0.2">
      <c r="B70" s="46"/>
      <c r="C70" s="46"/>
    </row>
    <row r="71" spans="2:3" x14ac:dyDescent="0.2">
      <c r="B71" s="46"/>
      <c r="C71" s="46"/>
    </row>
  </sheetData>
  <sheetProtection algorithmName="SHA-512" hashValue="qTStlOdNPTVW5OF9CfaSMmq7G0N7BoNHrfGga94hx2dFsC2WB1/dK+W3X1bASz8SRE0G+rwiI5lS88IW9TSwZg==" saltValue="SJFWgAFlev6pc3m0lc2alQ==" spinCount="100000" sheet="1" objects="1" scenarios="1"/>
  <mergeCells count="9">
    <mergeCell ref="A57:G57"/>
    <mergeCell ref="A1:G1"/>
    <mergeCell ref="A2:G2"/>
    <mergeCell ref="B3:C3"/>
    <mergeCell ref="D3:E3"/>
    <mergeCell ref="F3:G3"/>
    <mergeCell ref="B46:C46"/>
    <mergeCell ref="D46:E46"/>
    <mergeCell ref="F46:G46"/>
  </mergeCells>
  <pageMargins left="0.7" right="0.7" top="0.75" bottom="0.75" header="0.3" footer="0.3"/>
  <pageSetup scale="93" fitToWidth="0" orientation="portrait" verticalDpi="0" r:id="rId1"/>
  <headerFooter>
    <oddFooter>&amp;L&amp;"Times New Roman,Regular"&amp;8Prepared by Office of Planning, Effectiveness, Assessment, and Research, &amp;F,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Mena, Mariela</dc:creator>
  <cp:lastModifiedBy>Mena, Mariela</cp:lastModifiedBy>
  <cp:lastPrinted>2025-05-13T14:25:59Z</cp:lastPrinted>
  <dcterms:created xsi:type="dcterms:W3CDTF">2025-05-13T13:25:30Z</dcterms:created>
  <dcterms:modified xsi:type="dcterms:W3CDTF">2025-05-13T14:26:05Z</dcterms:modified>
</cp:coreProperties>
</file>